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ussba0027\Documents\Materiál na www.russ-ba.sk\"/>
    </mc:Choice>
  </mc:AlternateContent>
  <bookViews>
    <workbookView xWindow="0" yWindow="0" windowWidth="28800" windowHeight="12300"/>
  </bookViews>
  <sheets>
    <sheet name="NFP k 14.06.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E42" i="1"/>
  <c r="D42" i="1"/>
  <c r="C42" i="1"/>
  <c r="B42" i="1"/>
  <c r="I41" i="1"/>
  <c r="H41" i="1"/>
  <c r="G41" i="1"/>
  <c r="K41" i="1" s="1"/>
  <c r="F41" i="1"/>
  <c r="I40" i="1"/>
  <c r="H40" i="1"/>
  <c r="K40" i="1" s="1"/>
  <c r="G40" i="1"/>
  <c r="F40" i="1"/>
  <c r="I39" i="1"/>
  <c r="K39" i="1" s="1"/>
  <c r="H39" i="1"/>
  <c r="G39" i="1"/>
  <c r="F39" i="1"/>
  <c r="I38" i="1"/>
  <c r="H38" i="1"/>
  <c r="G38" i="1"/>
  <c r="K38" i="1" s="1"/>
  <c r="F38" i="1"/>
  <c r="I37" i="1"/>
  <c r="H37" i="1"/>
  <c r="G37" i="1"/>
  <c r="K37" i="1" s="1"/>
  <c r="F37" i="1"/>
  <c r="I36" i="1"/>
  <c r="H36" i="1"/>
  <c r="K36" i="1" s="1"/>
  <c r="G36" i="1"/>
  <c r="F36" i="1"/>
  <c r="I35" i="1"/>
  <c r="K35" i="1" s="1"/>
  <c r="H35" i="1"/>
  <c r="G35" i="1"/>
  <c r="F35" i="1"/>
  <c r="K34" i="1"/>
  <c r="I34" i="1"/>
  <c r="F34" i="1"/>
  <c r="I33" i="1"/>
  <c r="K33" i="1" s="1"/>
  <c r="H33" i="1"/>
  <c r="G33" i="1"/>
  <c r="F33" i="1"/>
  <c r="K32" i="1"/>
  <c r="I32" i="1"/>
  <c r="F32" i="1"/>
  <c r="I31" i="1"/>
  <c r="K31" i="1" s="1"/>
  <c r="H31" i="1"/>
  <c r="G31" i="1"/>
  <c r="F31" i="1"/>
  <c r="K30" i="1"/>
  <c r="I30" i="1"/>
  <c r="H30" i="1"/>
  <c r="G30" i="1"/>
  <c r="F30" i="1"/>
  <c r="I29" i="1"/>
  <c r="H29" i="1"/>
  <c r="G29" i="1"/>
  <c r="K29" i="1" s="1"/>
  <c r="F29" i="1"/>
  <c r="I28" i="1"/>
  <c r="K28" i="1" s="1"/>
  <c r="F28" i="1"/>
  <c r="I27" i="1"/>
  <c r="H27" i="1"/>
  <c r="G27" i="1"/>
  <c r="K27" i="1" s="1"/>
  <c r="F27" i="1"/>
  <c r="I26" i="1"/>
  <c r="H26" i="1"/>
  <c r="K26" i="1" s="1"/>
  <c r="G26" i="1"/>
  <c r="F26" i="1"/>
  <c r="I25" i="1"/>
  <c r="K25" i="1" s="1"/>
  <c r="H25" i="1"/>
  <c r="G25" i="1"/>
  <c r="F25" i="1"/>
  <c r="K24" i="1"/>
  <c r="I24" i="1"/>
  <c r="H24" i="1"/>
  <c r="G24" i="1"/>
  <c r="F24" i="1"/>
  <c r="I23" i="1"/>
  <c r="H23" i="1"/>
  <c r="G23" i="1"/>
  <c r="K23" i="1" s="1"/>
  <c r="F23" i="1"/>
  <c r="I22" i="1"/>
  <c r="H22" i="1"/>
  <c r="K22" i="1" s="1"/>
  <c r="G22" i="1"/>
  <c r="F22" i="1"/>
  <c r="I21" i="1"/>
  <c r="K21" i="1" s="1"/>
  <c r="H21" i="1"/>
  <c r="G21" i="1"/>
  <c r="F21" i="1"/>
  <c r="K20" i="1"/>
  <c r="I20" i="1"/>
  <c r="H20" i="1"/>
  <c r="G20" i="1"/>
  <c r="F20" i="1"/>
  <c r="I19" i="1"/>
  <c r="G19" i="1"/>
  <c r="K19" i="1" s="1"/>
  <c r="F19" i="1"/>
  <c r="I18" i="1"/>
  <c r="H18" i="1"/>
  <c r="G18" i="1"/>
  <c r="K18" i="1" s="1"/>
  <c r="F18" i="1"/>
  <c r="I17" i="1"/>
  <c r="H17" i="1"/>
  <c r="K17" i="1" s="1"/>
  <c r="G17" i="1"/>
  <c r="F17" i="1"/>
  <c r="I16" i="1"/>
  <c r="K16" i="1" s="1"/>
  <c r="H16" i="1"/>
  <c r="G16" i="1"/>
  <c r="F16" i="1"/>
  <c r="K15" i="1"/>
  <c r="I15" i="1"/>
  <c r="H15" i="1"/>
  <c r="G15" i="1"/>
  <c r="F15" i="1"/>
  <c r="I14" i="1"/>
  <c r="H14" i="1"/>
  <c r="G14" i="1"/>
  <c r="K14" i="1" s="1"/>
  <c r="F14" i="1"/>
  <c r="I13" i="1"/>
  <c r="H13" i="1"/>
  <c r="K13" i="1" s="1"/>
  <c r="G13" i="1"/>
  <c r="F13" i="1"/>
  <c r="I12" i="1"/>
  <c r="K12" i="1" s="1"/>
  <c r="H12" i="1"/>
  <c r="G12" i="1"/>
  <c r="F12" i="1"/>
  <c r="K11" i="1"/>
  <c r="I11" i="1"/>
  <c r="H11" i="1"/>
  <c r="G11" i="1"/>
  <c r="F11" i="1"/>
  <c r="I10" i="1"/>
  <c r="H10" i="1"/>
  <c r="G10" i="1"/>
  <c r="K10" i="1" s="1"/>
  <c r="F10" i="1"/>
  <c r="I9" i="1"/>
  <c r="H9" i="1"/>
  <c r="K9" i="1" s="1"/>
  <c r="G9" i="1"/>
  <c r="F9" i="1"/>
  <c r="I8" i="1"/>
  <c r="K8" i="1" s="1"/>
  <c r="H8" i="1"/>
  <c r="G8" i="1"/>
  <c r="F8" i="1"/>
  <c r="K7" i="1"/>
  <c r="I7" i="1"/>
  <c r="H7" i="1"/>
  <c r="G7" i="1"/>
  <c r="F7" i="1"/>
  <c r="F42" i="1" s="1"/>
  <c r="I6" i="1"/>
  <c r="H6" i="1"/>
  <c r="G6" i="1"/>
  <c r="K6" i="1" s="1"/>
  <c r="F6" i="1"/>
  <c r="I5" i="1"/>
  <c r="I42" i="1" s="1"/>
  <c r="H5" i="1"/>
  <c r="H42" i="1" s="1"/>
  <c r="G5" i="1"/>
  <c r="F5" i="1"/>
  <c r="G42" i="1" l="1"/>
  <c r="K5" i="1"/>
  <c r="K42" i="1" s="1"/>
</calcChain>
</file>

<file path=xl/sharedStrings.xml><?xml version="1.0" encoding="utf-8"?>
<sst xmlns="http://schemas.openxmlformats.org/spreadsheetml/2006/main" count="54" uniqueCount="49">
  <si>
    <t>zdroj 111, kód programu 0D501</t>
  </si>
  <si>
    <t xml:space="preserve">Schválený normatívny rozpočet v € </t>
  </si>
  <si>
    <t>610                 Mzdy, platy a ostatné osobné vyrovnania</t>
  </si>
  <si>
    <t>620                 Poistné a príspevok do poisťovní</t>
  </si>
  <si>
    <t>630                Tovary a služby</t>
  </si>
  <si>
    <t>640                 Bežné transfery</t>
  </si>
  <si>
    <t>600              Bežné výdavky</t>
  </si>
  <si>
    <t>600   Bežné výdavky</t>
  </si>
  <si>
    <t>MŠ pri zdavotníckom zariadení, Limbova 1, Bratislava</t>
  </si>
  <si>
    <t>Spojená škola, Mokrohájska cesta 3, Bratislava</t>
  </si>
  <si>
    <t>Diagnostické centrum, Slovinská 1, Bratislava</t>
  </si>
  <si>
    <t>Diagnostické centrum pre mládež, Trstínska 2, Bratislava</t>
  </si>
  <si>
    <t>Liečebno - výchovné sanatórium, Hrdličkova 21, Bratislava</t>
  </si>
  <si>
    <t>Spojená  škola, J. V. Dolinského 1, Bratislava</t>
  </si>
  <si>
    <t>Spojená škola,  Dúbravská cesta 1, Bratislava</t>
  </si>
  <si>
    <t>Spojená škola, Hálkova 54, Bratislava</t>
  </si>
  <si>
    <t>ŠZŠ s MŠ, Karpatská 1, Bratislava</t>
  </si>
  <si>
    <t xml:space="preserve">Spojená  škola, Pribinova 16/1, Malacky       </t>
  </si>
  <si>
    <t>Špeciálna základná škola s MŠ, Nevädzova 3, Bratislava</t>
  </si>
  <si>
    <t>Spojená  škola, Komenského 25, Pezinok</t>
  </si>
  <si>
    <t>Spojená škola, Trnavská 2, Senec</t>
  </si>
  <si>
    <t>ŠZŠ s MŠ, Žehrianska 9, Bratislava</t>
  </si>
  <si>
    <t>ZŠ pri zdravotníckom zariadení, Limbova 1, Bratislava</t>
  </si>
  <si>
    <t>ZŠ s MŠ  internátna, Drotárska cesta 48, Bratislava</t>
  </si>
  <si>
    <t>Spojená škola internátna, Hrdličkova 17, Bratislava</t>
  </si>
  <si>
    <t>SŠ internátna, Vlastenecké námestie 1, Bratislava</t>
  </si>
  <si>
    <t>Spojená škola internátna, Svrčia 6, Bratislava</t>
  </si>
  <si>
    <t>Gymnázium, Bilíkova 24, Bratislava</t>
  </si>
  <si>
    <t>Gymnázium F. G. Lorcu, Hronská 3, Bratislava</t>
  </si>
  <si>
    <t>Gymnázium Metodova 2, Bratislava</t>
  </si>
  <si>
    <t>Gymnázium, Ladislava Sáru 1, Bratislava</t>
  </si>
  <si>
    <t>Spojená škola, Novohradská 3, Bratislava</t>
  </si>
  <si>
    <t>Obchodná akadémia I. Karvaša, Hrobákova 11, Bratislava</t>
  </si>
  <si>
    <t>Odborné učilište, Dúbravská cesta 1, Bratislava</t>
  </si>
  <si>
    <t>Spojená škola, Švabinského 7, Bratislava</t>
  </si>
  <si>
    <t>Reedukačné centrum,  Sološnica 1</t>
  </si>
  <si>
    <t>Reedukačné centrum,  Veľké Leváre</t>
  </si>
  <si>
    <t>CPPPaP, Brnianska 47, Bratislava</t>
  </si>
  <si>
    <t>CPPPaP, Nevädzová 7, Bratislava</t>
  </si>
  <si>
    <t>CPPPaP, Vajnorská 98/D, Bratislava</t>
  </si>
  <si>
    <t>CPPPaP, Fedákova 3, Bratislava</t>
  </si>
  <si>
    <t xml:space="preserve">CPPPaP, Švabinského 7, Bratislava </t>
  </si>
  <si>
    <t>CPPPaP, Lichnerova 61, Senec</t>
  </si>
  <si>
    <t>CPPPaP, M.R.Štefánika 15, Pezinok</t>
  </si>
  <si>
    <t xml:space="preserve">CPPPaP, M. Rázusa 30, Malacky </t>
  </si>
  <si>
    <t>Školy a školské zariadenia spolu</t>
  </si>
  <si>
    <t>Normatívny rozpočet škôl a školských zariadení v zriaďovateľskej pôsobnosti RÚŠS v Bratislave</t>
  </si>
  <si>
    <t>Upravený normatívny rozpočet v € po rozpise V_1</t>
  </si>
  <si>
    <t>V Bratislave dňa 14.06.2022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</si>
</sst>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4"/>
      <name val="Arial"/>
      <family val="2"/>
      <charset val="238"/>
    </font>
    <font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/>
    <xf numFmtId="0" fontId="4" fillId="0" borderId="0"/>
  </cellStyleXfs>
  <cellXfs count="47">
    <xf numFmtId="0" fontId="0" fillId="0" borderId="0" xfId="0"/>
    <xf numFmtId="0" fontId="4" fillId="0" borderId="0" xfId="3"/>
    <xf numFmtId="0" fontId="4" fillId="0" borderId="0" xfId="3" applyAlignment="1">
      <alignment horizontal="center"/>
    </xf>
    <xf numFmtId="0" fontId="5" fillId="0" borderId="5" xfId="3" applyFont="1" applyBorder="1" applyAlignment="1">
      <alignment horizontal="center" vertical="center" wrapText="1"/>
    </xf>
    <xf numFmtId="3" fontId="4" fillId="0" borderId="8" xfId="4" applyNumberFormat="1" applyFont="1" applyBorder="1" applyAlignment="1">
      <alignment horizontal="center"/>
    </xf>
    <xf numFmtId="3" fontId="4" fillId="0" borderId="10" xfId="4" applyNumberFormat="1" applyFont="1" applyBorder="1" applyAlignment="1">
      <alignment horizontal="center"/>
    </xf>
    <xf numFmtId="3" fontId="4" fillId="0" borderId="11" xfId="4" applyNumberFormat="1" applyFont="1" applyBorder="1" applyAlignment="1">
      <alignment horizontal="center"/>
    </xf>
    <xf numFmtId="0" fontId="6" fillId="4" borderId="0" xfId="3" applyFont="1" applyFill="1"/>
    <xf numFmtId="0" fontId="7" fillId="4" borderId="1" xfId="4" applyFont="1" applyFill="1" applyBorder="1" applyAlignment="1">
      <alignment horizontal="center"/>
    </xf>
    <xf numFmtId="0" fontId="6" fillId="4" borderId="7" xfId="3" applyFont="1" applyFill="1" applyBorder="1"/>
    <xf numFmtId="0" fontId="1" fillId="4" borderId="9" xfId="1" applyFont="1" applyFill="1" applyBorder="1"/>
    <xf numFmtId="0" fontId="6" fillId="4" borderId="9" xfId="3" applyFont="1" applyFill="1" applyBorder="1"/>
    <xf numFmtId="0" fontId="1" fillId="4" borderId="9" xfId="2" applyFont="1" applyFill="1" applyBorder="1"/>
    <xf numFmtId="0" fontId="8" fillId="4" borderId="9" xfId="3" applyFont="1" applyFill="1" applyBorder="1"/>
    <xf numFmtId="0" fontId="6" fillId="4" borderId="12" xfId="3" applyFont="1" applyFill="1" applyBorder="1"/>
    <xf numFmtId="0" fontId="1" fillId="4" borderId="0" xfId="0" applyFont="1" applyFill="1"/>
    <xf numFmtId="0" fontId="5" fillId="0" borderId="15" xfId="3" applyFont="1" applyBorder="1" applyAlignment="1">
      <alignment horizontal="center" vertical="center" wrapText="1"/>
    </xf>
    <xf numFmtId="0" fontId="5" fillId="0" borderId="16" xfId="3" applyFont="1" applyBorder="1" applyAlignment="1">
      <alignment horizontal="center" vertical="center" wrapText="1"/>
    </xf>
    <xf numFmtId="0" fontId="5" fillId="0" borderId="18" xfId="3" applyFont="1" applyBorder="1" applyAlignment="1">
      <alignment horizontal="center" vertical="center" wrapText="1"/>
    </xf>
    <xf numFmtId="3" fontId="4" fillId="0" borderId="22" xfId="4" applyNumberFormat="1" applyFont="1" applyBorder="1" applyAlignment="1">
      <alignment horizontal="center"/>
    </xf>
    <xf numFmtId="3" fontId="4" fillId="0" borderId="23" xfId="4" applyNumberFormat="1" applyFont="1" applyBorder="1" applyAlignment="1">
      <alignment horizontal="center"/>
    </xf>
    <xf numFmtId="3" fontId="4" fillId="0" borderId="0" xfId="4" applyNumberFormat="1" applyFont="1" applyBorder="1" applyAlignment="1">
      <alignment horizontal="center"/>
    </xf>
    <xf numFmtId="0" fontId="5" fillId="5" borderId="3" xfId="3" applyFont="1" applyFill="1" applyBorder="1" applyAlignment="1">
      <alignment horizontal="center" vertical="center" wrapText="1"/>
    </xf>
    <xf numFmtId="3" fontId="5" fillId="5" borderId="7" xfId="3" applyNumberFormat="1" applyFont="1" applyFill="1" applyBorder="1" applyAlignment="1">
      <alignment horizontal="center"/>
    </xf>
    <xf numFmtId="3" fontId="5" fillId="5" borderId="9" xfId="3" applyNumberFormat="1" applyFont="1" applyFill="1" applyBorder="1" applyAlignment="1">
      <alignment horizontal="center"/>
    </xf>
    <xf numFmtId="3" fontId="5" fillId="5" borderId="13" xfId="3" applyNumberFormat="1" applyFont="1" applyFill="1" applyBorder="1" applyAlignment="1">
      <alignment horizontal="center"/>
    </xf>
    <xf numFmtId="0" fontId="5" fillId="5" borderId="6" xfId="3" applyFont="1" applyFill="1" applyBorder="1" applyAlignment="1">
      <alignment horizontal="center" vertical="center" wrapText="1"/>
    </xf>
    <xf numFmtId="3" fontId="5" fillId="5" borderId="19" xfId="3" applyNumberFormat="1" applyFont="1" applyFill="1" applyBorder="1" applyAlignment="1">
      <alignment horizontal="center"/>
    </xf>
    <xf numFmtId="3" fontId="5" fillId="5" borderId="20" xfId="3" applyNumberFormat="1" applyFont="1" applyFill="1" applyBorder="1" applyAlignment="1">
      <alignment horizontal="center"/>
    </xf>
    <xf numFmtId="0" fontId="0" fillId="4" borderId="0" xfId="0" applyFont="1" applyFill="1"/>
    <xf numFmtId="0" fontId="10" fillId="4" borderId="0" xfId="3" applyFont="1" applyFill="1"/>
    <xf numFmtId="0" fontId="11" fillId="0" borderId="0" xfId="3" applyFont="1"/>
    <xf numFmtId="0" fontId="11" fillId="0" borderId="0" xfId="3" applyFont="1" applyAlignment="1">
      <alignment horizontal="center"/>
    </xf>
    <xf numFmtId="0" fontId="12" fillId="0" borderId="0" xfId="0" applyFont="1"/>
    <xf numFmtId="0" fontId="7" fillId="4" borderId="2" xfId="4" applyFont="1" applyFill="1" applyBorder="1" applyAlignment="1">
      <alignment horizontal="left" vertical="center"/>
    </xf>
    <xf numFmtId="0" fontId="5" fillId="0" borderId="2" xfId="4" applyFont="1" applyBorder="1" applyAlignment="1">
      <alignment horizontal="center" vertical="center"/>
    </xf>
    <xf numFmtId="0" fontId="5" fillId="0" borderId="3" xfId="4" applyFont="1" applyBorder="1" applyAlignment="1">
      <alignment horizontal="center" vertical="center"/>
    </xf>
    <xf numFmtId="0" fontId="5" fillId="0" borderId="4" xfId="3" applyFont="1" applyBorder="1" applyAlignment="1">
      <alignment horizontal="center"/>
    </xf>
    <xf numFmtId="0" fontId="9" fillId="6" borderId="14" xfId="0" applyFont="1" applyFill="1" applyBorder="1"/>
    <xf numFmtId="3" fontId="9" fillId="6" borderId="5" xfId="0" applyNumberFormat="1" applyFont="1" applyFill="1" applyBorder="1"/>
    <xf numFmtId="3" fontId="9" fillId="6" borderId="15" xfId="0" applyNumberFormat="1" applyFont="1" applyFill="1" applyBorder="1"/>
    <xf numFmtId="3" fontId="9" fillId="6" borderId="16" xfId="0" applyNumberFormat="1" applyFont="1" applyFill="1" applyBorder="1"/>
    <xf numFmtId="3" fontId="9" fillId="6" borderId="21" xfId="0" applyNumberFormat="1" applyFont="1" applyFill="1" applyBorder="1"/>
    <xf numFmtId="3" fontId="9" fillId="6" borderId="5" xfId="0" applyNumberFormat="1" applyFont="1" applyFill="1" applyBorder="1" applyAlignment="1">
      <alignment horizontal="center"/>
    </xf>
    <xf numFmtId="3" fontId="9" fillId="6" borderId="15" xfId="0" applyNumberFormat="1" applyFont="1" applyFill="1" applyBorder="1" applyAlignment="1">
      <alignment horizontal="center"/>
    </xf>
    <xf numFmtId="3" fontId="9" fillId="6" borderId="16" xfId="0" applyNumberFormat="1" applyFont="1" applyFill="1" applyBorder="1" applyAlignment="1">
      <alignment horizontal="center"/>
    </xf>
    <xf numFmtId="3" fontId="9" fillId="6" borderId="17" xfId="0" applyNumberFormat="1" applyFont="1" applyFill="1" applyBorder="1" applyAlignment="1">
      <alignment horizontal="center"/>
    </xf>
  </cellXfs>
  <cellStyles count="5">
    <cellStyle name="Neutrálna" xfId="2" builtinId="28"/>
    <cellStyle name="Normálna" xfId="0" builtinId="0"/>
    <cellStyle name="Normálna 2" xfId="3"/>
    <cellStyle name="normálne_Hárok1" xfId="4"/>
    <cellStyle name="Zlá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F45" sqref="F45"/>
    </sheetView>
  </sheetViews>
  <sheetFormatPr defaultRowHeight="15" x14ac:dyDescent="0.25"/>
  <cols>
    <col min="1" max="1" width="55" style="15" customWidth="1"/>
    <col min="2" max="2" width="14" bestFit="1" customWidth="1"/>
    <col min="3" max="4" width="12.42578125" bestFit="1" customWidth="1"/>
    <col min="5" max="5" width="9" bestFit="1" customWidth="1"/>
    <col min="6" max="7" width="14" bestFit="1" customWidth="1"/>
    <col min="8" max="9" width="12.42578125" bestFit="1" customWidth="1"/>
    <col min="10" max="10" width="9" bestFit="1" customWidth="1"/>
    <col min="11" max="11" width="14" bestFit="1" customWidth="1"/>
  </cols>
  <sheetData>
    <row r="1" spans="1:11" s="33" customFormat="1" ht="18.75" x14ac:dyDescent="0.3">
      <c r="A1" s="30" t="s">
        <v>46</v>
      </c>
      <c r="B1" s="31"/>
      <c r="C1" s="31"/>
      <c r="D1" s="31"/>
      <c r="E1" s="31"/>
      <c r="F1" s="31"/>
      <c r="G1" s="32"/>
      <c r="H1" s="32"/>
      <c r="I1" s="32"/>
      <c r="J1" s="32"/>
      <c r="K1" s="32"/>
    </row>
    <row r="2" spans="1:11" ht="15.75" thickBot="1" x14ac:dyDescent="0.3">
      <c r="A2" s="7"/>
      <c r="B2" s="1"/>
      <c r="C2" s="1"/>
      <c r="D2" s="1"/>
      <c r="E2" s="1"/>
      <c r="F2" s="1"/>
      <c r="G2" s="2"/>
      <c r="H2" s="2"/>
      <c r="I2" s="2"/>
      <c r="J2" s="2"/>
      <c r="K2" s="2"/>
    </row>
    <row r="3" spans="1:11" ht="15.75" thickBot="1" x14ac:dyDescent="0.3">
      <c r="A3" s="8" t="s">
        <v>0</v>
      </c>
      <c r="B3" s="35" t="s">
        <v>1</v>
      </c>
      <c r="C3" s="36"/>
      <c r="D3" s="36"/>
      <c r="E3" s="36"/>
      <c r="F3" s="37"/>
      <c r="G3" s="35" t="s">
        <v>47</v>
      </c>
      <c r="H3" s="36"/>
      <c r="I3" s="36"/>
      <c r="J3" s="36"/>
      <c r="K3" s="37"/>
    </row>
    <row r="4" spans="1:11" ht="64.5" thickBot="1" x14ac:dyDescent="0.3">
      <c r="A4" s="34" t="s">
        <v>45</v>
      </c>
      <c r="B4" s="3" t="s">
        <v>2</v>
      </c>
      <c r="C4" s="16" t="s">
        <v>3</v>
      </c>
      <c r="D4" s="16" t="s">
        <v>4</v>
      </c>
      <c r="E4" s="17" t="s">
        <v>5</v>
      </c>
      <c r="F4" s="22" t="s">
        <v>6</v>
      </c>
      <c r="G4" s="3" t="s">
        <v>2</v>
      </c>
      <c r="H4" s="16" t="s">
        <v>3</v>
      </c>
      <c r="I4" s="16" t="s">
        <v>4</v>
      </c>
      <c r="J4" s="18" t="s">
        <v>5</v>
      </c>
      <c r="K4" s="26" t="s">
        <v>7</v>
      </c>
    </row>
    <row r="5" spans="1:11" x14ac:dyDescent="0.25">
      <c r="A5" s="9" t="s">
        <v>8</v>
      </c>
      <c r="B5" s="5">
        <v>508586</v>
      </c>
      <c r="C5" s="4">
        <v>177751</v>
      </c>
      <c r="D5" s="4">
        <v>12909</v>
      </c>
      <c r="E5" s="6"/>
      <c r="F5" s="23">
        <f>B5+C5+D5+E5</f>
        <v>699246</v>
      </c>
      <c r="G5" s="4">
        <f>508586+12059</f>
        <v>520645</v>
      </c>
      <c r="H5" s="4">
        <f>177751+4214</f>
        <v>181965</v>
      </c>
      <c r="I5" s="4">
        <f>12909+22649</f>
        <v>35558</v>
      </c>
      <c r="J5" s="6"/>
      <c r="K5" s="27">
        <f>SUM(G5:J5)</f>
        <v>738168</v>
      </c>
    </row>
    <row r="6" spans="1:11" x14ac:dyDescent="0.25">
      <c r="A6" s="10" t="s">
        <v>9</v>
      </c>
      <c r="B6" s="5">
        <v>669007</v>
      </c>
      <c r="C6" s="4">
        <v>233818</v>
      </c>
      <c r="D6" s="4">
        <v>30716</v>
      </c>
      <c r="E6" s="6"/>
      <c r="F6" s="24">
        <f t="shared" ref="F6:F41" si="0">B6+C6+D6+E6</f>
        <v>933541</v>
      </c>
      <c r="G6" s="4">
        <f>669007+30993</f>
        <v>700000</v>
      </c>
      <c r="H6" s="4">
        <f>233818+10832</f>
        <v>244650</v>
      </c>
      <c r="I6" s="4">
        <f>30716+39596</f>
        <v>70312</v>
      </c>
      <c r="J6" s="6"/>
      <c r="K6" s="27">
        <f t="shared" ref="K6:K41" si="1">SUM(G6:J6)</f>
        <v>1014962</v>
      </c>
    </row>
    <row r="7" spans="1:11" x14ac:dyDescent="0.25">
      <c r="A7" s="11" t="s">
        <v>10</v>
      </c>
      <c r="B7" s="5">
        <v>647222</v>
      </c>
      <c r="C7" s="4">
        <v>226204</v>
      </c>
      <c r="D7" s="4">
        <v>30483</v>
      </c>
      <c r="E7" s="6"/>
      <c r="F7" s="24">
        <f t="shared" si="0"/>
        <v>903909</v>
      </c>
      <c r="G7" s="4">
        <f>647222+99778</f>
        <v>747000</v>
      </c>
      <c r="H7" s="4">
        <f>226204+34873</f>
        <v>261077</v>
      </c>
      <c r="I7" s="4">
        <f>30483+69517</f>
        <v>100000</v>
      </c>
      <c r="J7" s="6"/>
      <c r="K7" s="27">
        <f t="shared" si="1"/>
        <v>1108077</v>
      </c>
    </row>
    <row r="8" spans="1:11" x14ac:dyDescent="0.25">
      <c r="A8" s="11" t="s">
        <v>11</v>
      </c>
      <c r="B8" s="5">
        <v>370035</v>
      </c>
      <c r="C8" s="4">
        <v>129327</v>
      </c>
      <c r="D8" s="4">
        <v>18031</v>
      </c>
      <c r="E8" s="6"/>
      <c r="F8" s="24">
        <f t="shared" si="0"/>
        <v>517393</v>
      </c>
      <c r="G8" s="4">
        <f>370035+7221</f>
        <v>377256</v>
      </c>
      <c r="H8" s="4">
        <f>129327+2524</f>
        <v>131851</v>
      </c>
      <c r="I8" s="4">
        <f>18031+61769</f>
        <v>79800</v>
      </c>
      <c r="J8" s="6"/>
      <c r="K8" s="27">
        <f t="shared" si="1"/>
        <v>588907</v>
      </c>
    </row>
    <row r="9" spans="1:11" x14ac:dyDescent="0.25">
      <c r="A9" s="11" t="s">
        <v>12</v>
      </c>
      <c r="B9" s="5">
        <v>346190</v>
      </c>
      <c r="C9" s="4">
        <v>120993</v>
      </c>
      <c r="D9" s="4">
        <v>17049</v>
      </c>
      <c r="E9" s="6"/>
      <c r="F9" s="24">
        <f t="shared" si="0"/>
        <v>484232</v>
      </c>
      <c r="G9" s="4">
        <f>346190+42671</f>
        <v>388861</v>
      </c>
      <c r="H9" s="4">
        <f>120993+14914</f>
        <v>135907</v>
      </c>
      <c r="I9" s="4">
        <f>17049+23018</f>
        <v>40067</v>
      </c>
      <c r="J9" s="6"/>
      <c r="K9" s="27">
        <f t="shared" si="1"/>
        <v>564835</v>
      </c>
    </row>
    <row r="10" spans="1:11" x14ac:dyDescent="0.25">
      <c r="A10" s="11" t="s">
        <v>13</v>
      </c>
      <c r="B10" s="5">
        <v>1458373</v>
      </c>
      <c r="C10" s="4">
        <v>509701</v>
      </c>
      <c r="D10" s="4">
        <v>65275</v>
      </c>
      <c r="E10" s="6"/>
      <c r="F10" s="24">
        <f t="shared" si="0"/>
        <v>2033349</v>
      </c>
      <c r="G10" s="4">
        <f>1458373+143377</f>
        <v>1601750</v>
      </c>
      <c r="H10" s="4">
        <f>509701+50111</f>
        <v>559812</v>
      </c>
      <c r="I10" s="4">
        <f>65275+146465</f>
        <v>211740</v>
      </c>
      <c r="J10" s="6"/>
      <c r="K10" s="27">
        <f t="shared" si="1"/>
        <v>2373302</v>
      </c>
    </row>
    <row r="11" spans="1:11" x14ac:dyDescent="0.25">
      <c r="A11" s="11" t="s">
        <v>14</v>
      </c>
      <c r="B11" s="5">
        <v>623515</v>
      </c>
      <c r="C11" s="4">
        <v>217919</v>
      </c>
      <c r="D11" s="4">
        <v>26084</v>
      </c>
      <c r="E11" s="6"/>
      <c r="F11" s="24">
        <f t="shared" si="0"/>
        <v>867518</v>
      </c>
      <c r="G11" s="4">
        <f>623515+95021</f>
        <v>718536</v>
      </c>
      <c r="H11" s="4">
        <f>217919+33209</f>
        <v>251128</v>
      </c>
      <c r="I11" s="4">
        <f>26084+59438</f>
        <v>85522</v>
      </c>
      <c r="J11" s="6"/>
      <c r="K11" s="27">
        <f t="shared" si="1"/>
        <v>1055186</v>
      </c>
    </row>
    <row r="12" spans="1:11" x14ac:dyDescent="0.25">
      <c r="A12" s="11" t="s">
        <v>15</v>
      </c>
      <c r="B12" s="5">
        <v>891433</v>
      </c>
      <c r="C12" s="4">
        <v>311556</v>
      </c>
      <c r="D12" s="4">
        <v>43439</v>
      </c>
      <c r="E12" s="6"/>
      <c r="F12" s="24">
        <f t="shared" si="0"/>
        <v>1246428</v>
      </c>
      <c r="G12" s="4">
        <f>891433+8567</f>
        <v>900000</v>
      </c>
      <c r="H12" s="4">
        <f>311556+2994</f>
        <v>314550</v>
      </c>
      <c r="I12" s="4">
        <f>43439+66713</f>
        <v>110152</v>
      </c>
      <c r="J12" s="6"/>
      <c r="K12" s="27">
        <f t="shared" si="1"/>
        <v>1324702</v>
      </c>
    </row>
    <row r="13" spans="1:11" x14ac:dyDescent="0.25">
      <c r="A13" s="11" t="s">
        <v>16</v>
      </c>
      <c r="B13" s="5">
        <v>797132</v>
      </c>
      <c r="C13" s="4">
        <v>278597</v>
      </c>
      <c r="D13" s="4">
        <v>31690</v>
      </c>
      <c r="E13" s="6"/>
      <c r="F13" s="24">
        <f t="shared" si="0"/>
        <v>1107419</v>
      </c>
      <c r="G13" s="4">
        <f>797132+9834</f>
        <v>806966</v>
      </c>
      <c r="H13" s="4">
        <f>278597+3438</f>
        <v>282035</v>
      </c>
      <c r="I13" s="4">
        <f>31690+133160+927</f>
        <v>165777</v>
      </c>
      <c r="J13" s="6"/>
      <c r="K13" s="27">
        <f t="shared" si="1"/>
        <v>1254778</v>
      </c>
    </row>
    <row r="14" spans="1:11" x14ac:dyDescent="0.25">
      <c r="A14" s="11" t="s">
        <v>17</v>
      </c>
      <c r="B14" s="5">
        <v>536332</v>
      </c>
      <c r="C14" s="4">
        <v>187449</v>
      </c>
      <c r="D14" s="4">
        <v>26915</v>
      </c>
      <c r="E14" s="6"/>
      <c r="F14" s="24">
        <f t="shared" si="0"/>
        <v>750696</v>
      </c>
      <c r="G14" s="4">
        <f>536332+48555</f>
        <v>584887</v>
      </c>
      <c r="H14" s="4">
        <f>187449+16969</f>
        <v>204418</v>
      </c>
      <c r="I14" s="4">
        <f>26915+40860</f>
        <v>67775</v>
      </c>
      <c r="J14" s="6"/>
      <c r="K14" s="27">
        <f t="shared" si="1"/>
        <v>857080</v>
      </c>
    </row>
    <row r="15" spans="1:11" x14ac:dyDescent="0.25">
      <c r="A15" s="11" t="s">
        <v>18</v>
      </c>
      <c r="B15" s="5">
        <v>548918</v>
      </c>
      <c r="C15" s="4">
        <v>191846</v>
      </c>
      <c r="D15" s="4">
        <v>26616</v>
      </c>
      <c r="E15" s="6"/>
      <c r="F15" s="24">
        <f t="shared" si="0"/>
        <v>767380</v>
      </c>
      <c r="G15" s="4">
        <f>548918+65155</f>
        <v>614073</v>
      </c>
      <c r="H15" s="4">
        <f>191846+22773</f>
        <v>214619</v>
      </c>
      <c r="I15" s="4">
        <f>26616+62391</f>
        <v>89007</v>
      </c>
      <c r="J15" s="6"/>
      <c r="K15" s="27">
        <f t="shared" si="1"/>
        <v>917699</v>
      </c>
    </row>
    <row r="16" spans="1:11" x14ac:dyDescent="0.25">
      <c r="A16" s="11" t="s">
        <v>19</v>
      </c>
      <c r="B16" s="5">
        <v>825134</v>
      </c>
      <c r="C16" s="4">
        <v>288385</v>
      </c>
      <c r="D16" s="4">
        <v>41887</v>
      </c>
      <c r="E16" s="6"/>
      <c r="F16" s="24">
        <f t="shared" si="0"/>
        <v>1155406</v>
      </c>
      <c r="G16" s="4">
        <f>825134+119485</f>
        <v>944619</v>
      </c>
      <c r="H16" s="4">
        <f>288385+41759</f>
        <v>330144</v>
      </c>
      <c r="I16" s="4">
        <f>41887+51656</f>
        <v>93543</v>
      </c>
      <c r="J16" s="6"/>
      <c r="K16" s="27">
        <f t="shared" si="1"/>
        <v>1368306</v>
      </c>
    </row>
    <row r="17" spans="1:11" x14ac:dyDescent="0.25">
      <c r="A17" s="11" t="s">
        <v>20</v>
      </c>
      <c r="B17" s="5">
        <v>445681</v>
      </c>
      <c r="C17" s="4">
        <v>155766</v>
      </c>
      <c r="D17" s="4">
        <v>19039</v>
      </c>
      <c r="E17" s="6"/>
      <c r="F17" s="24">
        <f t="shared" si="0"/>
        <v>620486</v>
      </c>
      <c r="G17" s="4">
        <f>445681+514</f>
        <v>446195</v>
      </c>
      <c r="H17" s="4">
        <f>155766+179</f>
        <v>155945</v>
      </c>
      <c r="I17" s="4">
        <f>19039+36566</f>
        <v>55605</v>
      </c>
      <c r="J17" s="6"/>
      <c r="K17" s="27">
        <f t="shared" si="1"/>
        <v>657745</v>
      </c>
    </row>
    <row r="18" spans="1:11" x14ac:dyDescent="0.25">
      <c r="A18" s="11" t="s">
        <v>21</v>
      </c>
      <c r="B18" s="5">
        <v>779849</v>
      </c>
      <c r="C18" s="4">
        <v>272558</v>
      </c>
      <c r="D18" s="4">
        <v>34309</v>
      </c>
      <c r="E18" s="6"/>
      <c r="F18" s="24">
        <f t="shared" si="0"/>
        <v>1086716</v>
      </c>
      <c r="G18" s="4">
        <f>779849+162094</f>
        <v>941943</v>
      </c>
      <c r="H18" s="4">
        <f>272558+56651</f>
        <v>329209</v>
      </c>
      <c r="I18" s="4">
        <f>34309+89796</f>
        <v>124105</v>
      </c>
      <c r="J18" s="6"/>
      <c r="K18" s="27">
        <f t="shared" si="1"/>
        <v>1395257</v>
      </c>
    </row>
    <row r="19" spans="1:11" x14ac:dyDescent="0.25">
      <c r="A19" s="11" t="s">
        <v>22</v>
      </c>
      <c r="B19" s="5">
        <v>802094</v>
      </c>
      <c r="C19" s="4">
        <v>280332</v>
      </c>
      <c r="D19" s="4">
        <v>36172</v>
      </c>
      <c r="E19" s="6"/>
      <c r="F19" s="24">
        <f t="shared" si="0"/>
        <v>1118598</v>
      </c>
      <c r="G19" s="4">
        <f>802094</f>
        <v>802094</v>
      </c>
      <c r="H19" s="4">
        <v>280332</v>
      </c>
      <c r="I19" s="4">
        <f>36172+35223</f>
        <v>71395</v>
      </c>
      <c r="J19" s="6"/>
      <c r="K19" s="27">
        <f t="shared" si="1"/>
        <v>1153821</v>
      </c>
    </row>
    <row r="20" spans="1:11" x14ac:dyDescent="0.25">
      <c r="A20" s="11" t="s">
        <v>23</v>
      </c>
      <c r="B20" s="5">
        <v>784628</v>
      </c>
      <c r="C20" s="4">
        <v>274228</v>
      </c>
      <c r="D20" s="4">
        <v>39051</v>
      </c>
      <c r="E20" s="6"/>
      <c r="F20" s="24">
        <f t="shared" si="0"/>
        <v>1097907</v>
      </c>
      <c r="G20" s="4">
        <f>784628+16134</f>
        <v>800762</v>
      </c>
      <c r="H20" s="4">
        <f>274228+5638</f>
        <v>279866</v>
      </c>
      <c r="I20" s="4">
        <f>39051+112365</f>
        <v>151416</v>
      </c>
      <c r="J20" s="6"/>
      <c r="K20" s="27">
        <f t="shared" si="1"/>
        <v>1232044</v>
      </c>
    </row>
    <row r="21" spans="1:11" x14ac:dyDescent="0.25">
      <c r="A21" s="10" t="s">
        <v>24</v>
      </c>
      <c r="B21" s="5">
        <v>1566914</v>
      </c>
      <c r="C21" s="4">
        <v>547635</v>
      </c>
      <c r="D21" s="4">
        <v>69612</v>
      </c>
      <c r="E21" s="6"/>
      <c r="F21" s="24">
        <f t="shared" si="0"/>
        <v>2184161</v>
      </c>
      <c r="G21" s="4">
        <f>1566914+202384</f>
        <v>1769298</v>
      </c>
      <c r="H21" s="4">
        <f>547635+70735</f>
        <v>618370</v>
      </c>
      <c r="I21" s="4">
        <f>69612+230388</f>
        <v>300000</v>
      </c>
      <c r="J21" s="6"/>
      <c r="K21" s="27">
        <f t="shared" si="1"/>
        <v>2687668</v>
      </c>
    </row>
    <row r="22" spans="1:11" x14ac:dyDescent="0.25">
      <c r="A22" s="11" t="s">
        <v>25</v>
      </c>
      <c r="B22" s="5">
        <v>876371</v>
      </c>
      <c r="C22" s="4">
        <v>306291</v>
      </c>
      <c r="D22" s="4">
        <v>40949</v>
      </c>
      <c r="E22" s="6"/>
      <c r="F22" s="24">
        <f t="shared" si="0"/>
        <v>1223611</v>
      </c>
      <c r="G22" s="4">
        <f>876371+28492</f>
        <v>904863</v>
      </c>
      <c r="H22" s="4">
        <f>306291+9959</f>
        <v>316250</v>
      </c>
      <c r="I22" s="4">
        <f>40949+74112+886</f>
        <v>115947</v>
      </c>
      <c r="J22" s="6"/>
      <c r="K22" s="27">
        <f t="shared" si="1"/>
        <v>1337060</v>
      </c>
    </row>
    <row r="23" spans="1:11" x14ac:dyDescent="0.25">
      <c r="A23" s="10" t="s">
        <v>26</v>
      </c>
      <c r="B23" s="5">
        <v>584644</v>
      </c>
      <c r="C23" s="4">
        <v>204333</v>
      </c>
      <c r="D23" s="4">
        <v>32739</v>
      </c>
      <c r="E23" s="6"/>
      <c r="F23" s="24">
        <f t="shared" si="0"/>
        <v>821716</v>
      </c>
      <c r="G23" s="4">
        <f>584644+65356</f>
        <v>650000</v>
      </c>
      <c r="H23" s="4">
        <f>204333+22842</f>
        <v>227175</v>
      </c>
      <c r="I23" s="4">
        <f>32739+67261</f>
        <v>100000</v>
      </c>
      <c r="J23" s="6"/>
      <c r="K23" s="27">
        <f t="shared" si="1"/>
        <v>977175</v>
      </c>
    </row>
    <row r="24" spans="1:11" x14ac:dyDescent="0.25">
      <c r="A24" s="11" t="s">
        <v>27</v>
      </c>
      <c r="B24" s="5">
        <v>1556629</v>
      </c>
      <c r="C24" s="4">
        <v>544042</v>
      </c>
      <c r="D24" s="4">
        <v>79878</v>
      </c>
      <c r="E24" s="6"/>
      <c r="F24" s="24">
        <f t="shared" si="0"/>
        <v>2180549</v>
      </c>
      <c r="G24" s="4">
        <f>1556629+69171</f>
        <v>1625800</v>
      </c>
      <c r="H24" s="4">
        <f>544042+24175</f>
        <v>568217</v>
      </c>
      <c r="I24" s="4">
        <f>79878+162865</f>
        <v>242743</v>
      </c>
      <c r="J24" s="6"/>
      <c r="K24" s="27">
        <f t="shared" si="1"/>
        <v>2436760</v>
      </c>
    </row>
    <row r="25" spans="1:11" x14ac:dyDescent="0.25">
      <c r="A25" s="11" t="s">
        <v>28</v>
      </c>
      <c r="B25" s="5">
        <v>918910</v>
      </c>
      <c r="C25" s="4">
        <v>321159</v>
      </c>
      <c r="D25" s="4">
        <v>45700</v>
      </c>
      <c r="E25" s="6"/>
      <c r="F25" s="24">
        <f t="shared" si="0"/>
        <v>1285769</v>
      </c>
      <c r="G25" s="4">
        <f>918910-12556</f>
        <v>906354</v>
      </c>
      <c r="H25" s="4">
        <f>321159-4388</f>
        <v>316771</v>
      </c>
      <c r="I25" s="4">
        <f>45700+87372</f>
        <v>133072</v>
      </c>
      <c r="J25" s="6"/>
      <c r="K25" s="27">
        <f t="shared" si="1"/>
        <v>1356197</v>
      </c>
    </row>
    <row r="26" spans="1:11" x14ac:dyDescent="0.25">
      <c r="A26" s="11" t="s">
        <v>29</v>
      </c>
      <c r="B26" s="5">
        <v>1461405</v>
      </c>
      <c r="C26" s="4">
        <v>510761</v>
      </c>
      <c r="D26" s="4">
        <v>71357</v>
      </c>
      <c r="E26" s="6"/>
      <c r="F26" s="24">
        <f t="shared" si="0"/>
        <v>2043523</v>
      </c>
      <c r="G26" s="4">
        <f>1461405+89902</f>
        <v>1551307</v>
      </c>
      <c r="H26" s="4">
        <f>510761+31421</f>
        <v>542182</v>
      </c>
      <c r="I26" s="4">
        <f>71357+168643</f>
        <v>240000</v>
      </c>
      <c r="J26" s="6"/>
      <c r="K26" s="27">
        <f t="shared" si="1"/>
        <v>2333489</v>
      </c>
    </row>
    <row r="27" spans="1:11" x14ac:dyDescent="0.25">
      <c r="A27" s="11" t="s">
        <v>30</v>
      </c>
      <c r="B27" s="5">
        <v>1025279</v>
      </c>
      <c r="C27" s="4">
        <v>358335</v>
      </c>
      <c r="D27" s="4">
        <v>61557</v>
      </c>
      <c r="E27" s="6"/>
      <c r="F27" s="24">
        <f t="shared" si="0"/>
        <v>1445171</v>
      </c>
      <c r="G27" s="4">
        <f>1025279+11880</f>
        <v>1037159</v>
      </c>
      <c r="H27" s="4">
        <f>358335+4152</f>
        <v>362487</v>
      </c>
      <c r="I27" s="4">
        <f>61557+108443</f>
        <v>170000</v>
      </c>
      <c r="J27" s="6"/>
      <c r="K27" s="27">
        <f t="shared" si="1"/>
        <v>1569646</v>
      </c>
    </row>
    <row r="28" spans="1:11" x14ac:dyDescent="0.25">
      <c r="A28" s="12" t="s">
        <v>31</v>
      </c>
      <c r="B28" s="5">
        <v>1929677</v>
      </c>
      <c r="C28" s="4">
        <v>674423</v>
      </c>
      <c r="D28" s="4">
        <v>94689</v>
      </c>
      <c r="E28" s="6"/>
      <c r="F28" s="24">
        <f t="shared" si="0"/>
        <v>2698789</v>
      </c>
      <c r="G28" s="4">
        <v>1929677</v>
      </c>
      <c r="H28" s="4">
        <v>674423</v>
      </c>
      <c r="I28" s="4">
        <f>94689+237797</f>
        <v>332486</v>
      </c>
      <c r="J28" s="6"/>
      <c r="K28" s="27">
        <f t="shared" si="1"/>
        <v>2936586</v>
      </c>
    </row>
    <row r="29" spans="1:11" x14ac:dyDescent="0.25">
      <c r="A29" s="11" t="s">
        <v>32</v>
      </c>
      <c r="B29" s="5">
        <v>732182</v>
      </c>
      <c r="C29" s="4">
        <v>255898</v>
      </c>
      <c r="D29" s="4">
        <v>32265</v>
      </c>
      <c r="E29" s="6"/>
      <c r="F29" s="24">
        <f t="shared" si="0"/>
        <v>1020345</v>
      </c>
      <c r="G29" s="4">
        <f>732182-16534</f>
        <v>715648</v>
      </c>
      <c r="H29" s="4">
        <f>255898-5779</f>
        <v>250119</v>
      </c>
      <c r="I29" s="4">
        <f>32265+67956</f>
        <v>100221</v>
      </c>
      <c r="J29" s="6"/>
      <c r="K29" s="27">
        <f t="shared" si="1"/>
        <v>1065988</v>
      </c>
    </row>
    <row r="30" spans="1:11" x14ac:dyDescent="0.25">
      <c r="A30" s="13" t="s">
        <v>33</v>
      </c>
      <c r="B30" s="5">
        <v>833199</v>
      </c>
      <c r="C30" s="4">
        <v>291203</v>
      </c>
      <c r="D30" s="4">
        <v>51223</v>
      </c>
      <c r="E30" s="6"/>
      <c r="F30" s="24">
        <f t="shared" si="0"/>
        <v>1175625</v>
      </c>
      <c r="G30" s="4">
        <f>833199+155946</f>
        <v>989145</v>
      </c>
      <c r="H30" s="4">
        <f>291203+54503</f>
        <v>345706</v>
      </c>
      <c r="I30" s="4">
        <f>51223+77963+40000</f>
        <v>169186</v>
      </c>
      <c r="J30" s="6"/>
      <c r="K30" s="27">
        <f t="shared" si="1"/>
        <v>1504037</v>
      </c>
    </row>
    <row r="31" spans="1:11" x14ac:dyDescent="0.25">
      <c r="A31" s="12" t="s">
        <v>34</v>
      </c>
      <c r="B31" s="5">
        <v>281610</v>
      </c>
      <c r="C31" s="4">
        <v>98422</v>
      </c>
      <c r="D31" s="4">
        <v>10677</v>
      </c>
      <c r="E31" s="6"/>
      <c r="F31" s="24">
        <f t="shared" si="0"/>
        <v>390709</v>
      </c>
      <c r="G31" s="4">
        <f>281610+11712</f>
        <v>293322</v>
      </c>
      <c r="H31" s="4">
        <f>98422+4094-2000</f>
        <v>100516</v>
      </c>
      <c r="I31" s="4">
        <f>10677+59861+2000</f>
        <v>72538</v>
      </c>
      <c r="J31" s="6"/>
      <c r="K31" s="27">
        <f t="shared" si="1"/>
        <v>466376</v>
      </c>
    </row>
    <row r="32" spans="1:11" x14ac:dyDescent="0.25">
      <c r="A32" s="11" t="s">
        <v>35</v>
      </c>
      <c r="B32" s="5">
        <v>709294</v>
      </c>
      <c r="C32" s="4">
        <v>247897</v>
      </c>
      <c r="D32" s="4">
        <v>32950</v>
      </c>
      <c r="E32" s="6">
        <v>16000</v>
      </c>
      <c r="F32" s="24">
        <f t="shared" si="0"/>
        <v>1006141</v>
      </c>
      <c r="G32" s="4">
        <v>709294</v>
      </c>
      <c r="H32" s="4">
        <v>247897</v>
      </c>
      <c r="I32" s="4">
        <f>32950+110258</f>
        <v>143208</v>
      </c>
      <c r="J32" s="6">
        <v>16000</v>
      </c>
      <c r="K32" s="27">
        <f t="shared" si="1"/>
        <v>1116399</v>
      </c>
    </row>
    <row r="33" spans="1:11" x14ac:dyDescent="0.25">
      <c r="A33" s="11" t="s">
        <v>36</v>
      </c>
      <c r="B33" s="5">
        <v>596700</v>
      </c>
      <c r="C33" s="4">
        <v>208547</v>
      </c>
      <c r="D33" s="4">
        <v>27633</v>
      </c>
      <c r="E33" s="6">
        <v>16954</v>
      </c>
      <c r="F33" s="24">
        <f t="shared" si="0"/>
        <v>849834</v>
      </c>
      <c r="G33" s="4">
        <f>596700+48906</f>
        <v>645606</v>
      </c>
      <c r="H33" s="4">
        <f>208547+17092</f>
        <v>225639</v>
      </c>
      <c r="I33" s="4">
        <f>27633+107861</f>
        <v>135494</v>
      </c>
      <c r="J33" s="6">
        <v>16954</v>
      </c>
      <c r="K33" s="27">
        <f t="shared" si="1"/>
        <v>1023693</v>
      </c>
    </row>
    <row r="34" spans="1:11" x14ac:dyDescent="0.25">
      <c r="A34" s="12" t="s">
        <v>37</v>
      </c>
      <c r="B34" s="5">
        <v>253488</v>
      </c>
      <c r="C34" s="4">
        <v>88594</v>
      </c>
      <c r="D34" s="4">
        <v>12366</v>
      </c>
      <c r="E34" s="6"/>
      <c r="F34" s="24">
        <f t="shared" si="0"/>
        <v>354448</v>
      </c>
      <c r="G34" s="4">
        <v>253488</v>
      </c>
      <c r="H34" s="4">
        <v>88594</v>
      </c>
      <c r="I34" s="4">
        <f>12366+22870</f>
        <v>35236</v>
      </c>
      <c r="J34" s="6"/>
      <c r="K34" s="27">
        <f t="shared" si="1"/>
        <v>377318</v>
      </c>
    </row>
    <row r="35" spans="1:11" x14ac:dyDescent="0.25">
      <c r="A35" s="12" t="s">
        <v>38</v>
      </c>
      <c r="B35" s="5">
        <v>366191</v>
      </c>
      <c r="C35" s="4">
        <v>127984</v>
      </c>
      <c r="D35" s="4">
        <v>17831</v>
      </c>
      <c r="E35" s="6"/>
      <c r="F35" s="24">
        <f t="shared" si="0"/>
        <v>512006</v>
      </c>
      <c r="G35" s="4">
        <f>366191+97352</f>
        <v>463543</v>
      </c>
      <c r="H35" s="4">
        <f>127984+34024</f>
        <v>162008</v>
      </c>
      <c r="I35" s="4">
        <f>17831+70280</f>
        <v>88111</v>
      </c>
      <c r="J35" s="6"/>
      <c r="K35" s="27">
        <f t="shared" si="1"/>
        <v>713662</v>
      </c>
    </row>
    <row r="36" spans="1:11" x14ac:dyDescent="0.25">
      <c r="A36" s="11" t="s">
        <v>39</v>
      </c>
      <c r="B36" s="5">
        <v>327059</v>
      </c>
      <c r="C36" s="4">
        <v>114307</v>
      </c>
      <c r="D36" s="4">
        <v>15929</v>
      </c>
      <c r="E36" s="6"/>
      <c r="F36" s="24">
        <f t="shared" si="0"/>
        <v>457295</v>
      </c>
      <c r="G36" s="4">
        <f>327059+28556</f>
        <v>355615</v>
      </c>
      <c r="H36" s="4">
        <f>114307+9980</f>
        <v>124287</v>
      </c>
      <c r="I36" s="4">
        <f>15929+52612</f>
        <v>68541</v>
      </c>
      <c r="J36" s="6"/>
      <c r="K36" s="27">
        <f t="shared" si="1"/>
        <v>548443</v>
      </c>
    </row>
    <row r="37" spans="1:11" x14ac:dyDescent="0.25">
      <c r="A37" s="12" t="s">
        <v>40</v>
      </c>
      <c r="B37" s="5">
        <v>333002</v>
      </c>
      <c r="C37" s="4">
        <v>116384</v>
      </c>
      <c r="D37" s="4">
        <v>18231</v>
      </c>
      <c r="E37" s="6"/>
      <c r="F37" s="24">
        <f t="shared" si="0"/>
        <v>467617</v>
      </c>
      <c r="G37" s="4">
        <f>333002-5843</f>
        <v>327159</v>
      </c>
      <c r="H37" s="4">
        <f>116384-2042</f>
        <v>114342</v>
      </c>
      <c r="I37" s="4">
        <f>18231+38372</f>
        <v>56603</v>
      </c>
      <c r="J37" s="6"/>
      <c r="K37" s="27">
        <f t="shared" si="1"/>
        <v>498104</v>
      </c>
    </row>
    <row r="38" spans="1:11" x14ac:dyDescent="0.25">
      <c r="A38" s="12" t="s">
        <v>41</v>
      </c>
      <c r="B38" s="5">
        <v>354239</v>
      </c>
      <c r="C38" s="4">
        <v>123807</v>
      </c>
      <c r="D38" s="4">
        <v>17270</v>
      </c>
      <c r="E38" s="6"/>
      <c r="F38" s="24">
        <f t="shared" si="0"/>
        <v>495316</v>
      </c>
      <c r="G38" s="4">
        <f>354239-47466</f>
        <v>306773</v>
      </c>
      <c r="H38" s="4">
        <f>123807-16590</f>
        <v>107217</v>
      </c>
      <c r="I38" s="4">
        <f>17270+26844</f>
        <v>44114</v>
      </c>
      <c r="J38" s="6"/>
      <c r="K38" s="27">
        <f t="shared" si="1"/>
        <v>458104</v>
      </c>
    </row>
    <row r="39" spans="1:11" x14ac:dyDescent="0.25">
      <c r="A39" s="12" t="s">
        <v>42</v>
      </c>
      <c r="B39" s="5">
        <v>175110</v>
      </c>
      <c r="C39" s="4">
        <v>61201</v>
      </c>
      <c r="D39" s="4">
        <v>12962</v>
      </c>
      <c r="E39" s="6"/>
      <c r="F39" s="24">
        <f t="shared" si="0"/>
        <v>249273</v>
      </c>
      <c r="G39" s="4">
        <f>175110+2060</f>
        <v>177170</v>
      </c>
      <c r="H39" s="4">
        <f>61201+720</f>
        <v>61921</v>
      </c>
      <c r="I39" s="4">
        <f>12962+37331</f>
        <v>50293</v>
      </c>
      <c r="J39" s="6"/>
      <c r="K39" s="27">
        <f t="shared" si="1"/>
        <v>289384</v>
      </c>
    </row>
    <row r="40" spans="1:11" x14ac:dyDescent="0.25">
      <c r="A40" s="11" t="s">
        <v>43</v>
      </c>
      <c r="B40" s="5">
        <v>188010</v>
      </c>
      <c r="C40" s="4">
        <v>65709</v>
      </c>
      <c r="D40" s="4">
        <v>9628</v>
      </c>
      <c r="E40" s="6"/>
      <c r="F40" s="24">
        <f t="shared" si="0"/>
        <v>263347</v>
      </c>
      <c r="G40" s="4">
        <f>188010-27720</f>
        <v>160290</v>
      </c>
      <c r="H40" s="4">
        <f>65709-9688</f>
        <v>56021</v>
      </c>
      <c r="I40" s="4">
        <f>9628+21484</f>
        <v>31112</v>
      </c>
      <c r="J40" s="6"/>
      <c r="K40" s="27">
        <f t="shared" si="1"/>
        <v>247423</v>
      </c>
    </row>
    <row r="41" spans="1:11" ht="15.75" thickBot="1" x14ac:dyDescent="0.3">
      <c r="A41" s="14" t="s">
        <v>44</v>
      </c>
      <c r="B41" s="19">
        <v>164351</v>
      </c>
      <c r="C41" s="20">
        <v>57441</v>
      </c>
      <c r="D41" s="20">
        <v>9184</v>
      </c>
      <c r="E41" s="21"/>
      <c r="F41" s="25">
        <f t="shared" si="0"/>
        <v>230976</v>
      </c>
      <c r="G41" s="20">
        <f>164351+3999</f>
        <v>168350</v>
      </c>
      <c r="H41" s="20">
        <f>57441+1397</f>
        <v>58838</v>
      </c>
      <c r="I41" s="20">
        <f>9184+23310</f>
        <v>32494</v>
      </c>
      <c r="J41" s="21"/>
      <c r="K41" s="28">
        <f t="shared" si="1"/>
        <v>259682</v>
      </c>
    </row>
    <row r="42" spans="1:11" ht="19.5" thickBot="1" x14ac:dyDescent="0.35">
      <c r="A42" s="38" t="s">
        <v>45</v>
      </c>
      <c r="B42" s="39">
        <f t="shared" ref="B42:G42" si="2">SUM(B5:B41)</f>
        <v>26268393</v>
      </c>
      <c r="C42" s="40">
        <f t="shared" si="2"/>
        <v>9180803</v>
      </c>
      <c r="D42" s="40">
        <f t="shared" si="2"/>
        <v>1264295</v>
      </c>
      <c r="E42" s="41">
        <f t="shared" si="2"/>
        <v>32954</v>
      </c>
      <c r="F42" s="42">
        <f t="shared" si="2"/>
        <v>36746445</v>
      </c>
      <c r="G42" s="43">
        <f t="shared" si="2"/>
        <v>27835448</v>
      </c>
      <c r="H42" s="44">
        <f t="shared" ref="H42:K42" si="3">SUM(H5:H41)</f>
        <v>9726488</v>
      </c>
      <c r="I42" s="44">
        <f t="shared" si="3"/>
        <v>4213173</v>
      </c>
      <c r="J42" s="45">
        <f t="shared" si="3"/>
        <v>32954</v>
      </c>
      <c r="K42" s="46">
        <f t="shared" si="3"/>
        <v>41808063</v>
      </c>
    </row>
    <row r="44" spans="1:11" x14ac:dyDescent="0.25">
      <c r="A44" s="29" t="s">
        <v>48</v>
      </c>
    </row>
  </sheetData>
  <mergeCells count="2">
    <mergeCell ref="B3:F3"/>
    <mergeCell ref="G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NFP k 14.06.2022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Anikó Géciová</dc:creator>
  <cp:lastModifiedBy>Anikó Géciová</cp:lastModifiedBy>
  <dcterms:created xsi:type="dcterms:W3CDTF">2022-06-14T05:00:40Z</dcterms:created>
  <dcterms:modified xsi:type="dcterms:W3CDTF">2022-06-15T05:02:18Z</dcterms:modified>
</cp:coreProperties>
</file>